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ULIEU HOANG\1. mos 16\1. MOS Excel 2016\1. Giao an tinhoccong\1. Private\3. E16CA-BVN3\E16CA-BVN3\CA.ESource\"/>
    </mc:Choice>
  </mc:AlternateContent>
  <bookViews>
    <workbookView xWindow="0" yWindow="0" windowWidth="28800" windowHeight="11760"/>
  </bookViews>
  <sheets>
    <sheet name="Summary" sheetId="1" r:id="rId1"/>
    <sheet name="Database" sheetId="5" r:id="rId2"/>
    <sheet name="BeSam" sheetId="6" r:id="rId3"/>
  </sheets>
  <definedNames>
    <definedName name="_xlnm._FilterDatabase" localSheetId="1" hidden="1">Database!#REF!</definedName>
    <definedName name="_xlnm._FilterDatabase" localSheetId="0" hidden="1">#REF!</definedName>
    <definedName name="BUDGET_Title">Summary!$A$2</definedName>
    <definedName name="ColumnTitle1">Totals[[#Headers],[BUDGET TOTALS]]</definedName>
    <definedName name="COMPANY_NAME">Summary!$A$1</definedName>
    <definedName name="_xlnm.Print_Titles" localSheetId="1">Database!$4:$4</definedName>
    <definedName name="Title1">Top5Expenses[[#Headers],[EXPENSE]]</definedName>
    <definedName name="Title2">Income[[#Headers],[INCOME]]</definedName>
    <definedName name="Title3">PersonnelExpenses[[#Headers],[PERSONNEL EXPENSES]]</definedName>
    <definedName name="Title4">Index[[#Headers],[OPERATING EXPENSES]]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D24" i="1"/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 l="1"/>
  <c r="C25" i="5"/>
  <c r="D25" i="5"/>
  <c r="E28" i="1"/>
  <c r="F28" i="1"/>
  <c r="E29" i="1"/>
  <c r="F29" i="1"/>
  <c r="E30" i="1"/>
  <c r="F30" i="1"/>
  <c r="C31" i="1"/>
  <c r="D31" i="1"/>
  <c r="E21" i="1"/>
  <c r="F21" i="1"/>
  <c r="F24" i="1" s="1"/>
  <c r="E22" i="1"/>
  <c r="F22" i="1"/>
  <c r="E23" i="1"/>
  <c r="F23" i="1"/>
  <c r="F31" i="1" l="1"/>
  <c r="B2" i="5"/>
  <c r="E24" i="5" l="1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B1" i="5"/>
  <c r="D6" i="1"/>
  <c r="C16" i="1" l="1"/>
  <c r="B16" i="1" s="1"/>
  <c r="C15" i="1"/>
  <c r="B15" i="1" s="1"/>
  <c r="C13" i="1"/>
  <c r="B13" i="1" s="1"/>
  <c r="C12" i="1"/>
  <c r="B12" i="1" s="1"/>
  <c r="C14" i="1"/>
  <c r="B14" i="1" s="1"/>
  <c r="C6" i="1"/>
  <c r="E13" i="1" l="1"/>
  <c r="E12" i="1" l="1"/>
  <c r="E16" i="1" l="1"/>
  <c r="E15" i="1"/>
  <c r="E14" i="1" l="1"/>
  <c r="E17" i="1" s="1"/>
  <c r="C17" i="1"/>
  <c r="D5" i="1"/>
  <c r="D14" i="1" l="1"/>
  <c r="E6" i="1"/>
  <c r="D7" i="1"/>
  <c r="D15" i="1"/>
  <c r="D13" i="1"/>
  <c r="D16" i="1"/>
  <c r="D12" i="1"/>
  <c r="D17" i="1" l="1"/>
  <c r="C5" i="1" l="1"/>
  <c r="E5" i="1" l="1"/>
  <c r="C7" i="1"/>
  <c r="E7" i="1" s="1"/>
</calcChain>
</file>

<file path=xl/sharedStrings.xml><?xml version="1.0" encoding="utf-8"?>
<sst xmlns="http://schemas.openxmlformats.org/spreadsheetml/2006/main" count="77" uniqueCount="66">
  <si>
    <t>Other</t>
  </si>
  <si>
    <t>Advertising</t>
  </si>
  <si>
    <t>Depreciation</t>
  </si>
  <si>
    <t>Insurance</t>
  </si>
  <si>
    <t>Interest</t>
  </si>
  <si>
    <t>Office supplies</t>
  </si>
  <si>
    <t>Postage</t>
  </si>
  <si>
    <t>Rent or mortgage</t>
  </si>
  <si>
    <t>Sales expenses</t>
  </si>
  <si>
    <t>Shipping and storage</t>
  </si>
  <si>
    <t>Supplies</t>
  </si>
  <si>
    <t>Taxes</t>
  </si>
  <si>
    <t>Telephone</t>
  </si>
  <si>
    <t>Utilities</t>
  </si>
  <si>
    <t>Total</t>
  </si>
  <si>
    <t>Income</t>
  </si>
  <si>
    <t>Wages</t>
  </si>
  <si>
    <t>Commission</t>
  </si>
  <si>
    <t>Expenses</t>
  </si>
  <si>
    <t>ESTIMATED</t>
  </si>
  <si>
    <t>ACTUAL</t>
  </si>
  <si>
    <t>DIFFERENCE</t>
  </si>
  <si>
    <t>INCOME</t>
  </si>
  <si>
    <t>TOP 5 AMOUNT</t>
  </si>
  <si>
    <t>PERSONNEL EXPENSES</t>
  </si>
  <si>
    <t>OPERATING EXPENSES</t>
  </si>
  <si>
    <t>WHAT ARE MY TOP 5 HIGHEST OPERATING EXPENSES?</t>
  </si>
  <si>
    <t>EXPENSE</t>
  </si>
  <si>
    <t>AMOUNT</t>
  </si>
  <si>
    <t>% OF EXPENSES</t>
  </si>
  <si>
    <t>BUDGET TOTALS</t>
  </si>
  <si>
    <t>MONTHLY BUDGET</t>
  </si>
  <si>
    <t>15% REDUCTION</t>
  </si>
  <si>
    <t>Balance (Income minus Expenses)</t>
  </si>
  <si>
    <t>Employee benefits</t>
  </si>
  <si>
    <t>Bad debts</t>
  </si>
  <si>
    <t>Cash discounts</t>
  </si>
  <si>
    <t>Dues and subscriptions</t>
  </si>
  <si>
    <t>Legal and auditing</t>
  </si>
  <si>
    <t>Maintenance and repairs</t>
  </si>
  <si>
    <t>Net sales</t>
  </si>
  <si>
    <t>Interest income</t>
  </si>
  <si>
    <t>Asset sales (gain/loss)</t>
  </si>
  <si>
    <t>Delivery costs</t>
  </si>
  <si>
    <t>Total Income</t>
  </si>
  <si>
    <t>Total Personnel Expenses</t>
  </si>
  <si>
    <t>Total Operating Expenses</t>
  </si>
  <si>
    <t>Budget Overview chart is in this cell. Top 5 Operating Expenses are automatically updated in Top5Expenses table, below.</t>
  </si>
  <si>
    <t>TIN HOC CONG</t>
  </si>
  <si>
    <t>Cộng Academy</t>
  </si>
  <si>
    <t>Complaint Type</t>
  </si>
  <si>
    <t>Too noisy</t>
  </si>
  <si>
    <t>Overpriced</t>
  </si>
  <si>
    <t>Food is tasteless</t>
  </si>
  <si>
    <t>Food not fresh</t>
  </si>
  <si>
    <t>Food is too salty</t>
  </si>
  <si>
    <t>Not clean</t>
  </si>
  <si>
    <t>Unfriendly staff</t>
  </si>
  <si>
    <t>Wait time</t>
  </si>
  <si>
    <t>No atmosphere</t>
  </si>
  <si>
    <t>Small portions</t>
  </si>
  <si>
    <t>Quarter 1</t>
  </si>
  <si>
    <t>Quarter 2</t>
  </si>
  <si>
    <t>Quarter 3</t>
  </si>
  <si>
    <t>Quarter 4</t>
  </si>
  <si>
    <t>Histogram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</si>
</sst>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0.0%"/>
  </numFmts>
  <fonts count="16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2"/>
      <color theme="3"/>
      <name val="Gill Sans MT"/>
      <family val="2"/>
      <scheme val="minor"/>
    </font>
    <font>
      <sz val="16"/>
      <color theme="0"/>
      <name val="Gill Sans MT"/>
      <family val="2"/>
      <scheme val="major"/>
    </font>
    <font>
      <sz val="36"/>
      <color theme="0"/>
      <name val="Gill Sans MT"/>
      <family val="2"/>
      <scheme val="maj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11"/>
      <color rgb="FFDA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0" tint="-4.9989318521683403E-2"/>
      <name val="Gill Sans MT"/>
      <family val="2"/>
      <scheme val="minor"/>
    </font>
    <font>
      <sz val="11"/>
      <color theme="1" tint="4.9989318521683403E-2"/>
      <name val="Gill Sans MT"/>
      <family val="2"/>
      <scheme val="major"/>
    </font>
    <font>
      <b/>
      <sz val="11"/>
      <color theme="0"/>
      <name val="Gill Sans MT"/>
      <family val="2"/>
      <scheme val="minor"/>
    </font>
    <font>
      <sz val="11"/>
      <color theme="1"/>
      <name val="Gill Sans MT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3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13">
    <xf numFmtId="0" fontId="0" fillId="0" borderId="0">
      <alignment horizontal="left" wrapText="1" indent="1"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0" borderId="0" applyNumberFormat="0" applyFill="0" applyAlignment="0" applyProtection="0"/>
    <xf numFmtId="0" fontId="13" fillId="7" borderId="0" applyBorder="0" applyProtection="0">
      <alignment horizontal="left" vertical="center" indent="1"/>
    </xf>
    <xf numFmtId="0" fontId="13" fillId="7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7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11" fillId="5" borderId="0" applyFill="0" applyBorder="0">
      <alignment horizontal="right"/>
    </xf>
  </cellStyleXfs>
  <cellXfs count="50">
    <xf numFmtId="0" fontId="0" fillId="0" borderId="0" xfId="0">
      <alignment horizontal="left" wrapText="1" indent="1"/>
    </xf>
    <xf numFmtId="0" fontId="0" fillId="0" borderId="0" xfId="0" applyProtection="1">
      <alignment horizontal="left" wrapText="1" indent="1"/>
    </xf>
    <xf numFmtId="0" fontId="0" fillId="0" borderId="0" xfId="0" applyFill="1" applyProtection="1">
      <alignment horizontal="left" wrapText="1" indent="1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0" xfId="0" applyFill="1" applyProtection="1">
      <alignment horizontal="left" wrapText="1" indent="1"/>
    </xf>
    <xf numFmtId="0" fontId="13" fillId="2" borderId="0" xfId="6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center"/>
    </xf>
    <xf numFmtId="40" fontId="1" fillId="6" borderId="0" xfId="10" applyFill="1" applyBorder="1" applyAlignment="1" applyProtection="1"/>
    <xf numFmtId="40" fontId="8" fillId="0" borderId="0" xfId="10" applyFont="1" applyFill="1" applyAlignment="1" applyProtection="1"/>
    <xf numFmtId="40" fontId="0" fillId="0" borderId="0" xfId="10" applyFont="1" applyFill="1" applyBorder="1" applyAlignment="1" applyProtection="1"/>
    <xf numFmtId="40" fontId="0" fillId="0" borderId="0" xfId="10" applyFont="1" applyFill="1" applyBorder="1" applyProtection="1">
      <alignment horizontal="right"/>
    </xf>
    <xf numFmtId="40" fontId="1" fillId="0" borderId="0" xfId="10" applyFill="1" applyProtection="1">
      <alignment horizontal="right"/>
    </xf>
    <xf numFmtId="165" fontId="1" fillId="6" borderId="0" xfId="11" applyFill="1" applyBorder="1" applyProtection="1">
      <alignment horizontal="right"/>
    </xf>
    <xf numFmtId="165" fontId="0" fillId="0" borderId="0" xfId="11" applyFont="1" applyFill="1" applyBorder="1" applyAlignment="1" applyProtection="1">
      <alignment wrapText="1"/>
    </xf>
    <xf numFmtId="40" fontId="1" fillId="6" borderId="0" xfId="10" applyFill="1" applyBorder="1" applyProtection="1">
      <alignment horizontal="right"/>
    </xf>
    <xf numFmtId="40" fontId="0" fillId="0" borderId="0" xfId="10" applyFont="1" applyFill="1" applyBorder="1" applyAlignment="1" applyProtection="1">
      <alignment wrapText="1"/>
    </xf>
    <xf numFmtId="40" fontId="1" fillId="6" borderId="0" xfId="10" applyFill="1" applyAlignment="1" applyProtection="1"/>
    <xf numFmtId="0" fontId="13" fillId="7" borderId="0" xfId="6">
      <alignment horizontal="left" vertical="center" indent="1"/>
    </xf>
    <xf numFmtId="0" fontId="13" fillId="7" borderId="0" xfId="7">
      <alignment horizontal="left" vertical="center"/>
    </xf>
    <xf numFmtId="0" fontId="13" fillId="7" borderId="0" xfId="7" applyBorder="1" applyProtection="1">
      <alignment horizontal="left" vertical="center"/>
    </xf>
    <xf numFmtId="0" fontId="13" fillId="7" borderId="0" xfId="6" applyBorder="1" applyProtection="1">
      <alignment horizontal="left" vertical="center" indent="1"/>
    </xf>
    <xf numFmtId="40" fontId="1" fillId="0" borderId="0" xfId="10" applyAlignment="1" applyProtection="1"/>
    <xf numFmtId="0" fontId="3" fillId="8" borderId="0" xfId="5" applyFont="1" applyFill="1" applyAlignment="1" applyProtection="1">
      <alignment horizontal="right"/>
    </xf>
    <xf numFmtId="40" fontId="0" fillId="0" borderId="0" xfId="0" applyNumberFormat="1" applyFont="1" applyFill="1" applyBorder="1" applyAlignment="1" applyProtection="1">
      <alignment wrapText="1"/>
    </xf>
    <xf numFmtId="40" fontId="0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6" fillId="0" borderId="0" xfId="0" applyFont="1" applyFill="1" applyProtection="1">
      <alignment horizontal="left" wrapText="1" indent="1"/>
    </xf>
    <xf numFmtId="0" fontId="13" fillId="0" borderId="0" xfId="6" applyFill="1">
      <alignment horizontal="left" vertical="center" indent="1"/>
    </xf>
    <xf numFmtId="0" fontId="13" fillId="0" borderId="0" xfId="7" applyFill="1">
      <alignment horizontal="left" vertical="center"/>
    </xf>
    <xf numFmtId="0" fontId="6" fillId="0" borderId="0" xfId="3" applyFont="1" applyFill="1" applyBorder="1" applyProtection="1"/>
    <xf numFmtId="0" fontId="0" fillId="0" borderId="0" xfId="0" applyFill="1">
      <alignment horizontal="left" wrapText="1" indent="1"/>
    </xf>
    <xf numFmtId="40" fontId="1" fillId="0" borderId="0" xfId="10" applyFill="1" applyAlignment="1" applyProtection="1"/>
    <xf numFmtId="40" fontId="6" fillId="0" borderId="0" xfId="4" applyNumberFormat="1" applyFont="1" applyFill="1" applyBorder="1" applyProtection="1"/>
    <xf numFmtId="40" fontId="0" fillId="0" borderId="0" xfId="0" applyNumberFormat="1" applyFill="1" applyAlignment="1">
      <alignment horizontal="right"/>
    </xf>
    <xf numFmtId="40" fontId="6" fillId="0" borderId="0" xfId="8" applyNumberFormat="1" applyFont="1" applyFill="1" applyBorder="1" applyProtection="1"/>
    <xf numFmtId="0" fontId="4" fillId="8" borderId="0" xfId="1" applyFont="1" applyFill="1" applyAlignment="1" applyProtection="1">
      <alignment horizontal="center" vertical="center"/>
    </xf>
    <xf numFmtId="0" fontId="10" fillId="0" borderId="0" xfId="5" applyFill="1" applyAlignment="1" applyProtection="1">
      <alignment horizontal="left" indent="1"/>
    </xf>
    <xf numFmtId="0" fontId="3" fillId="0" borderId="0" xfId="0" applyFont="1" applyFill="1" applyAlignment="1" applyProtection="1"/>
    <xf numFmtId="0" fontId="9" fillId="0" borderId="0" xfId="1" applyFill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0" fillId="0" borderId="0" xfId="0" applyAlignment="1"/>
    <xf numFmtId="0" fontId="14" fillId="10" borderId="1" xfId="0" applyFont="1" applyFill="1" applyBorder="1" applyAlignment="1">
      <alignment horizontal="center" vertical="center"/>
    </xf>
    <xf numFmtId="0" fontId="10" fillId="0" borderId="0" xfId="5" applyAlignment="1"/>
    <xf numFmtId="40" fontId="15" fillId="0" borderId="0" xfId="0" applyNumberFormat="1" applyFont="1" applyFill="1" applyBorder="1" applyAlignment="1" applyProtection="1">
      <alignment horizontal="right"/>
    </xf>
    <xf numFmtId="0" fontId="0" fillId="0" borderId="2" xfId="0" applyFont="1" applyBorder="1" applyAlignment="1"/>
    <xf numFmtId="0" fontId="0" fillId="9" borderId="3" xfId="0" applyFont="1" applyFill="1" applyBorder="1" applyAlignment="1"/>
    <xf numFmtId="0" fontId="0" fillId="0" borderId="3" xfId="0" applyFont="1" applyBorder="1" applyAlignment="1"/>
    <xf numFmtId="0" fontId="14" fillId="11" borderId="3" xfId="0" applyFont="1" applyFill="1" applyBorder="1" applyAlignment="1">
      <alignment horizontal="center" vertical="center"/>
    </xf>
  </cellXfs>
  <cellStyles count="13">
    <cellStyle name="20% - Accent5" xfId="4" builtinId="46"/>
    <cellStyle name="60% - Accent4" xfId="3" builtinId="44" customBuiltin="1"/>
    <cellStyle name="Comma" xfId="10" builtinId="3" customBuiltin="1"/>
    <cellStyle name="Date" xfId="12"/>
    <cellStyle name="Heading 1" xfId="5" builtinId="16" customBuiltin="1"/>
    <cellStyle name="Heading 2" xfId="6" builtinId="17" customBuiltin="1"/>
    <cellStyle name="Heading 3" xfId="7" builtinId="18" customBuiltin="1"/>
    <cellStyle name="Heading 4" xfId="2" builtinId="19" customBuiltin="1"/>
    <cellStyle name="Normal" xfId="0" builtinId="0" customBuiltin="1"/>
    <cellStyle name="Percent" xfId="11" builtinId="5" customBuiltin="1"/>
    <cellStyle name="Title" xfId="1" builtinId="15" customBuiltin="1"/>
    <cellStyle name="Total" xfId="8" builtinId="25" customBuiltin="1"/>
    <cellStyle name="Warning Text" xfId="9" builtinId="11" customBuiltin="1"/>
  </cellStyles>
  <dxfs count="54"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protection locked="1" hidden="0"/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Gill Sans MT"/>
        <scheme val="minor"/>
      </font>
      <protection locked="1" hidden="0"/>
    </dxf>
    <dxf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4">
      <tableStyleElement type="wholeTable" dxfId="53"/>
      <tableStyleElement type="headerRow" dxfId="52"/>
      <tableStyleElement type="totalRow" dxfId="51"/>
      <tableStyleElement type="lastColumn" dxfId="5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50" b="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050" b="0">
                <a:solidFill>
                  <a:schemeClr val="tx2">
                    <a:lumMod val="75000"/>
                  </a:schemeClr>
                </a:solidFill>
              </a:rPr>
              <a:t>BUDGET OVERVIEW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4"/>
              </a:solidFill>
            </a:ln>
            <a:effectLst>
              <a:outerShdw blurRad="508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Summary!$C$4:$D$4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Summary!$C$5:$D$5</c:f>
              <c:numCache>
                <c:formatCode>#,##0.00_);[Red]\(#,##0.00\)</c:formatCode>
                <c:ptCount val="2"/>
                <c:pt idx="0">
                  <c:v>63300</c:v>
                </c:pt>
                <c:pt idx="1">
                  <c:v>57450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C-4F29-BB77-33B658ECA92E}"/>
            </c:ext>
          </c:extLst>
        </c:ser>
        <c:ser>
          <c:idx val="1"/>
          <c:order val="1"/>
          <c:tx>
            <c:strRef>
              <c:f>Summary!$B$6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5">
                  <a:lumMod val="90000"/>
                </a:schemeClr>
              </a:solidFill>
            </a:ln>
            <a:effectLst>
              <a:outerShdw blurRad="508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Summary!$C$4:$D$4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Summary!$C$6:$D$6</c:f>
              <c:numCache>
                <c:formatCode>#,##0.00_);[Red]\(#,##0.00\)</c:formatCode>
                <c:ptCount val="2"/>
                <c:pt idx="0">
                  <c:v>54500</c:v>
                </c:pt>
                <c:pt idx="1">
                  <c:v>49630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C-4F29-BB77-33B658ECA9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2567104"/>
        <c:axId val="742571024"/>
      </c:barChart>
      <c:catAx>
        <c:axId val="742567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742571024"/>
        <c:crosses val="autoZero"/>
        <c:auto val="1"/>
        <c:lblAlgn val="ctr"/>
        <c:lblOffset val="100"/>
        <c:noMultiLvlLbl val="0"/>
      </c:catAx>
      <c:valAx>
        <c:axId val="742571024"/>
        <c:scaling>
          <c:orientation val="minMax"/>
        </c:scaling>
        <c:delete val="1"/>
        <c:axPos val="l"/>
        <c:numFmt formatCode="#,##0.00_);[Red]\(#,##0.00\)" sourceLinked="1"/>
        <c:majorTickMark val="out"/>
        <c:minorTickMark val="none"/>
        <c:tickLblPos val="nextTo"/>
        <c:crossAx val="74256710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 OVERVIEW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Summary!$D$20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 cap="sq" cmpd="dbl">
              <a:noFill/>
              <a:prstDash val="sysDot"/>
              <a:miter lim="800000"/>
            </a:ln>
            <a:effectLst>
              <a:softEdge rad="0"/>
            </a:effectLst>
            <a:scene3d>
              <a:camera prst="orthographicFront"/>
              <a:lightRig rig="threePt" dir="t"/>
            </a:scene3d>
            <a:sp3d prstMaterial="softEdge"/>
          </c:spPr>
          <c:cat>
            <c:strRef>
              <c:f>Summary!$B$21:$B$23</c:f>
              <c:strCache>
                <c:ptCount val="3"/>
                <c:pt idx="0">
                  <c:v>Net sales</c:v>
                </c:pt>
                <c:pt idx="1">
                  <c:v>Interest income</c:v>
                </c:pt>
                <c:pt idx="2">
                  <c:v>Asset sales (gain/loss)</c:v>
                </c:pt>
              </c:strCache>
            </c:strRef>
          </c:cat>
          <c:val>
            <c:numRef>
              <c:f>Summary!$D$21:$D$23</c:f>
              <c:numCache>
                <c:formatCode>#,##0.00_);[Red]\(#,##0.00\)</c:formatCode>
                <c:ptCount val="3"/>
                <c:pt idx="0">
                  <c:v>54000</c:v>
                </c:pt>
                <c:pt idx="1">
                  <c:v>3000</c:v>
                </c:pt>
                <c:pt idx="2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0-47AB-876D-7DE802CE4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991040"/>
        <c:axId val="1020750272"/>
      </c:areaChart>
      <c:lineChart>
        <c:grouping val="standard"/>
        <c:varyColors val="0"/>
        <c:ser>
          <c:idx val="0"/>
          <c:order val="0"/>
          <c:tx>
            <c:strRef>
              <c:f>Summary!$C$20</c:f>
              <c:strCache>
                <c:ptCount val="1"/>
                <c:pt idx="0">
                  <c:v>ESTIMATED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Summary!$B$21:$B$23</c:f>
              <c:strCache>
                <c:ptCount val="3"/>
                <c:pt idx="0">
                  <c:v>Net sales</c:v>
                </c:pt>
                <c:pt idx="1">
                  <c:v>Interest income</c:v>
                </c:pt>
                <c:pt idx="2">
                  <c:v>Asset sales (gain/loss)</c:v>
                </c:pt>
              </c:strCache>
            </c:strRef>
          </c:cat>
          <c:val>
            <c:numRef>
              <c:f>Summary!$C$21:$C$23</c:f>
              <c:numCache>
                <c:formatCode>#,##0.00_);[Red]\(#,##0.00\)</c:formatCode>
                <c:ptCount val="3"/>
                <c:pt idx="0">
                  <c:v>60000</c:v>
                </c:pt>
                <c:pt idx="1">
                  <c:v>3000</c:v>
                </c:pt>
                <c:pt idx="2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0-47AB-876D-7DE802CE4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003520"/>
        <c:axId val="1020741632"/>
      </c:lineChart>
      <c:valAx>
        <c:axId val="1020741632"/>
        <c:scaling>
          <c:orientation val="minMax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003520"/>
        <c:crosses val="max"/>
        <c:crossBetween val="between"/>
      </c:valAx>
      <c:catAx>
        <c:axId val="890003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0741632"/>
        <c:crosses val="autoZero"/>
        <c:auto val="1"/>
        <c:lblAlgn val="ctr"/>
        <c:lblOffset val="100"/>
        <c:noMultiLvlLbl val="0"/>
      </c:catAx>
      <c:valAx>
        <c:axId val="1020750272"/>
        <c:scaling>
          <c:orientation val="minMax"/>
        </c:scaling>
        <c:delete val="0"/>
        <c:axPos val="l"/>
        <c:numFmt formatCode="#,##0.00_);[Red]\(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991040"/>
        <c:crosses val="autoZero"/>
        <c:crossBetween val="between"/>
      </c:valAx>
      <c:catAx>
        <c:axId val="889991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0750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EXPENSE OVERVIEW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Summary!$C$11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Summary!$C$12:$C$16</c:f>
              <c:numCache>
                <c:formatCode>#,##0.00_);[Red]\(#,##0.00\)</c:formatCode>
                <c:ptCount val="5"/>
                <c:pt idx="0">
                  <c:v>4600.0000140000002</c:v>
                </c:pt>
                <c:pt idx="1">
                  <c:v>4500.0000200000004</c:v>
                </c:pt>
                <c:pt idx="2">
                  <c:v>4500.0000170000003</c:v>
                </c:pt>
                <c:pt idx="3">
                  <c:v>3200.0000209999998</c:v>
                </c:pt>
                <c:pt idx="4">
                  <c:v>2500.0000049999999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6-44CD-BA76-B6CDC39A4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24880160"/>
        <c:axId val="1026848480"/>
      </c:barChart>
      <c:lineChart>
        <c:grouping val="standard"/>
        <c:varyColors val="0"/>
        <c:ser>
          <c:idx val="1"/>
          <c:order val="1"/>
          <c:tx>
            <c:strRef>
              <c:f>Summary!$D$11</c:f>
              <c:strCache>
                <c:ptCount val="1"/>
                <c:pt idx="0">
                  <c:v>% OF EXPENSES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Summary!$D$12:$D$16</c:f>
              <c:numCache>
                <c:formatCode>0.0%</c:formatCode>
                <c:ptCount val="5"/>
                <c:pt idx="0">
                  <c:v>9.2685875760628658E-2</c:v>
                </c:pt>
                <c:pt idx="1">
                  <c:v>9.0670965545033261E-2</c:v>
                </c:pt>
                <c:pt idx="2">
                  <c:v>9.0670965484585947E-2</c:v>
                </c:pt>
                <c:pt idx="3">
                  <c:v>6.4477131190812012E-2</c:v>
                </c:pt>
                <c:pt idx="4">
                  <c:v>5.037275851299617E-2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16-44CD-BA76-B6CDC39A4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874752"/>
        <c:axId val="1026851072"/>
      </c:lineChart>
      <c:catAx>
        <c:axId val="1024880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848480"/>
        <c:crosses val="autoZero"/>
        <c:auto val="1"/>
        <c:lblAlgn val="ctr"/>
        <c:lblOffset val="100"/>
        <c:noMultiLvlLbl val="0"/>
      </c:catAx>
      <c:valAx>
        <c:axId val="102684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880160"/>
        <c:crosses val="autoZero"/>
        <c:crossBetween val="between"/>
      </c:valAx>
      <c:valAx>
        <c:axId val="102685107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874752"/>
        <c:crosses val="max"/>
        <c:crossBetween val="between"/>
      </c:valAx>
      <c:catAx>
        <c:axId val="102987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1026851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Database!C1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2</xdr:row>
      <xdr:rowOff>0</xdr:rowOff>
    </xdr:from>
    <xdr:to>
      <xdr:col>13</xdr:col>
      <xdr:colOff>4762</xdr:colOff>
      <xdr:row>9</xdr:row>
      <xdr:rowOff>81803</xdr:rowOff>
    </xdr:to>
    <xdr:graphicFrame macro="">
      <xdr:nvGraphicFramePr>
        <xdr:cNvPr id="4" name="BudgetOverview" descr="Bar overview chart showing estimated versus actual income and expenses">
          <a:extLst>
            <a:ext uri="{FF2B5EF4-FFF2-40B4-BE49-F238E27FC236}">
              <a16:creationId xmlns:a16="http://schemas.microsoft.com/office/drawing/2014/main" id="{8763D8B1-197D-46B7-A466-AAB2841DF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241524</xdr:colOff>
      <xdr:row>19</xdr:row>
      <xdr:rowOff>193898</xdr:rowOff>
    </xdr:from>
    <xdr:to>
      <xdr:col>12</xdr:col>
      <xdr:colOff>485324</xdr:colOff>
      <xdr:row>29</xdr:row>
      <xdr:rowOff>170088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EF0D3CE-4662-439E-8704-3D68687A29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215152</xdr:colOff>
      <xdr:row>9</xdr:row>
      <xdr:rowOff>112058</xdr:rowOff>
    </xdr:from>
    <xdr:to>
      <xdr:col>12</xdr:col>
      <xdr:colOff>510988</xdr:colOff>
      <xdr:row>19</xdr:row>
      <xdr:rowOff>65442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13</xdr:row>
      <xdr:rowOff>91440</xdr:rowOff>
    </xdr:from>
    <xdr:to>
      <xdr:col>2</xdr:col>
      <xdr:colOff>461434</xdr:colOff>
      <xdr:row>19</xdr:row>
      <xdr:rowOff>106680</xdr:rowOff>
    </xdr:to>
    <xdr:pic>
      <xdr:nvPicPr>
        <xdr:cNvPr id="10" name="my_baby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3421380"/>
          <a:ext cx="2465493" cy="1386840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65000" dist="50800" dir="12900000" kx="195000" ky="145000" algn="tl" rotWithShape="0">
            <a:srgbClr val="000000">
              <a:alpha val="30000"/>
            </a:srgbClr>
          </a:outerShdw>
        </a:effectLst>
        <a:scene3d>
          <a:camera prst="orthographicFront">
            <a:rot lat="0" lon="0" rev="360000"/>
          </a:camera>
          <a:lightRig rig="twoPt" dir="t">
            <a:rot lat="0" lon="0" rev="7200000"/>
          </a:lightRig>
        </a:scene3d>
        <a:sp3d contourW="12700">
          <a:bevelT w="25400" h="19050"/>
          <a:contourClr>
            <a:srgbClr val="969696"/>
          </a:contourClr>
        </a:sp3d>
      </xdr:spPr>
    </xdr:pic>
    <xdr:clientData/>
  </xdr:twoCellAnchor>
</xdr:wsDr>
</file>

<file path=xl/tables/table1.xml><?xml version="1.0" encoding="utf-8"?>
<table xmlns="http://schemas.openxmlformats.org/spreadsheetml/2006/main" id="4" name="Totals" displayName="Totals" ref="B4:E7" totalsRowCount="1" headerRowDxfId="49" dataDxfId="48" totalsRowDxfId="47">
  <autoFilter ref="B4:E6">
    <filterColumn colId="0" hiddenButton="1"/>
    <filterColumn colId="1" hiddenButton="1"/>
    <filterColumn colId="2" hiddenButton="1"/>
    <filterColumn colId="3" hiddenButton="1"/>
  </autoFilter>
  <tableColumns count="4">
    <tableColumn id="1" name="BUDGET TOTALS" totalsRowLabel="Balance (Income minus Expenses)"/>
    <tableColumn id="2" name="ESTIMATED" totalsRowFunction="custom" dataCellStyle="Comma">
      <totalsRowFormula>C5-C6</totalsRowFormula>
    </tableColumn>
    <tableColumn id="3" name="ACTUAL" totalsRowFunction="custom" dataDxfId="46" dataCellStyle="Comma">
      <totalsRowFormula>D5-D6</totalsRowFormula>
    </tableColumn>
    <tableColumn id="4" name="DIFFERENCE" totalsRowFunction="custom" dataDxfId="45" dataCellStyle="Comma">
      <calculatedColumnFormula>Totals[[#This Row],[ACTUAL]]-Totals[[#This Row],[ESTIMATED]]</calculatedColumnFormula>
      <totalsRowFormula>Totals[[#Totals],[ACTUAL]]-Totals[[#Totals],[ESTIMATED]]</totalsRow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Budget Totals, Estimated and Actual Income and Expenses, and Difference is automatically updated in this table"/>
    </ext>
  </extLst>
</table>
</file>

<file path=xl/tables/table2.xml><?xml version="1.0" encoding="utf-8"?>
<table xmlns="http://schemas.openxmlformats.org/spreadsheetml/2006/main" id="1" name="Top5Expenses" displayName="Top5Expenses" ref="B11:E17" totalsRowCount="1" headerRowDxfId="44" dataDxfId="43" totalsRowDxfId="42">
  <tableColumns count="4">
    <tableColumn id="1" name="EXPENSE" totalsRowLabel="Total">
      <calculatedColumnFormula>Index[](#REF!,MATCH(Top5Expenses[[#This Row],[AMOUNT]],#REF!,0),1)</calculatedColumnFormula>
    </tableColumn>
    <tableColumn id="2" name="AMOUNT" totalsRowFunction="sum" dataDxfId="41" dataCellStyle="Comma"/>
    <tableColumn id="3" name="% OF EXPENSES" totalsRowFunction="sum" dataDxfId="40" dataCellStyle="Percent">
      <calculatedColumnFormula>Top5Expenses[[#This Row],[AMOUNT]]/$D$6</calculatedColumnFormula>
    </tableColumn>
    <tableColumn id="4" name="15% REDUCTION" totalsRowFunction="sum" dataDxfId="39" dataCellStyle="Comma">
      <calculatedColumnFormula>Top5Expenses[[#This Row],[AMOUNT]]*0.15</calculatedColumnFormula>
    </tableColumn>
  </tableColumns>
  <tableStyleInfo name="Monthly Budget" showFirstColumn="0" showLastColumn="0" showRowStripes="0" showColumnStripes="0"/>
  <extLst>
    <ext xmlns:x14="http://schemas.microsoft.com/office/spreadsheetml/2009/9/main" uri="{504A1905-F514-4f6f-8877-14C23A59335A}">
      <x14:table altTextSummary="Top 5 Operating Expense items, Amounts, percentage of Expenses, and 15% Reduction are automatically updated in this table"/>
    </ext>
  </extLst>
</table>
</file>

<file path=xl/tables/table3.xml><?xml version="1.0" encoding="utf-8"?>
<table xmlns="http://schemas.openxmlformats.org/spreadsheetml/2006/main" id="3" name="Income" displayName="Income" ref="B20:F24" totalsRowCount="1" headerRowDxfId="38" dataDxfId="37" totalsRowDxfId="36">
  <autoFilter ref="B20:F23"/>
  <tableColumns count="5">
    <tableColumn id="1" name="INCOME" totalsRowLabel="Total Income"/>
    <tableColumn id="2" name="ESTIMATED" totalsRowFunction="sum" dataDxfId="35" totalsRowDxfId="4" dataCellStyle="Comma"/>
    <tableColumn id="3" name="ACTUAL" totalsRowFunction="sum" dataDxfId="34" totalsRowDxfId="5" dataCellStyle="Comma"/>
    <tableColumn id="5" name="TOP 5 AMOUNT" dataDxfId="33" totalsRowDxfId="6" dataCellStyle="Comma">
      <calculatedColumnFormula>Income[[#This Row],[ACTUAL]]+(10^-6)*ROW(Income[[#This Row],[ACTUAL]])</calculatedColumnFormula>
    </tableColumn>
    <tableColumn id="4" name="DIFFERENCE" totalsRowFunction="sum" dataDxfId="32" totalsRowDxfId="7" dataCellStyle="Comma">
      <calculatedColumnFormula>Income[[#This Row],[ACTUAL]]-Income[[#This Row],[ESTIMATED]]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Monthly Income, Estimated, and Actual values in this table. Difference is automatically calculated"/>
    </ext>
  </extLst>
</table>
</file>

<file path=xl/tables/table4.xml><?xml version="1.0" encoding="utf-8"?>
<table xmlns="http://schemas.openxmlformats.org/spreadsheetml/2006/main" id="7" name="PersonnelExpenses" displayName="PersonnelExpenses" ref="B27:F31" totalsRowCount="1" headerRowDxfId="31" dataDxfId="30" totalsRowDxfId="29">
  <autoFilter ref="B27:F30"/>
  <tableColumns count="5">
    <tableColumn id="1" name="PERSONNEL EXPENSES" totalsRowLabel="Total Personnel Expenses"/>
    <tableColumn id="2" name="ESTIMATED" totalsRowFunction="sum" dataDxfId="28" totalsRowDxfId="27" dataCellStyle="Comma"/>
    <tableColumn id="3" name="ACTUAL" totalsRowFunction="sum" dataDxfId="26" totalsRowDxfId="25" dataCellStyle="Comma"/>
    <tableColumn id="4" name="TOP 5 AMOUNT" dataDxfId="24" totalsRowDxfId="23" dataCellStyle="Comma">
      <calculatedColumnFormula>PersonnelExpenses[[#This Row],[ACTUAL]]+(10^-6)*ROW(PersonnelExpenses[[#This Row],[ACTUAL]])</calculatedColumnFormula>
    </tableColumn>
    <tableColumn id="5" name="DIFFERENCE" totalsRowFunction="sum" dataDxfId="22" totalsRowDxfId="21" dataCellStyle="Comma">
      <calculatedColumnFormula>PersonnelExpenses[[#This Row],[ESTIMATED]]-PersonnelExpenses[[#This Row],[ACTUAL]]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Personnel Expenses, Estimated and Actual values in this table. Difference is automatically calculated"/>
    </ext>
  </extLst>
</table>
</file>

<file path=xl/tables/table5.xml><?xml version="1.0" encoding="utf-8"?>
<table xmlns="http://schemas.openxmlformats.org/spreadsheetml/2006/main" id="9" name="Index" displayName="Index" ref="B4:F25" totalsRowCount="1" headerRowDxfId="10" dataDxfId="9" totalsRowDxfId="8">
  <autoFilter ref="B4:F24"/>
  <sortState ref="B12:F31">
    <sortCondition ref="B16:B36"/>
  </sortState>
  <tableColumns count="5">
    <tableColumn id="1" name="OPERATING EXPENSES" totalsRowLabel="Total Operating Expenses" dataDxfId="20" totalsRowDxfId="15"/>
    <tableColumn id="2" name="ESTIMATED" totalsRowFunction="sum" dataDxfId="19" totalsRowDxfId="14" dataCellStyle="Comma"/>
    <tableColumn id="3" name="ACTUAL" totalsRowFunction="sum" dataDxfId="18" totalsRowDxfId="13" dataCellStyle="Comma"/>
    <tableColumn id="5" name="TOP 5 AMOUNT" dataDxfId="17" totalsRowDxfId="12" dataCellStyle="Comma">
      <calculatedColumnFormula>Index[[#This Row],[ACTUAL]]+(10^-6)*ROW(Index[[#This Row],[ACTUAL]])</calculatedColumnFormula>
    </tableColumn>
    <tableColumn id="4" name="DIFFERENCE" totalsRowFunction="sum" dataDxfId="16" totalsRowDxfId="11" dataCellStyle="Comma">
      <calculatedColumnFormula>C5-D5</calculatedColumnFormula>
    </tableColumn>
  </tableColumns>
  <tableStyleInfo name="Monthly Budget" showFirstColumn="0" showLastColumn="1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79998168889431442"/>
    <pageSetUpPr autoPageBreaks="0" fitToPage="1"/>
  </sheetPr>
  <dimension ref="A1:M31"/>
  <sheetViews>
    <sheetView showGridLines="0" tabSelected="1" zoomScale="85" zoomScaleNormal="85" workbookViewId="0">
      <selection sqref="A1:M1"/>
    </sheetView>
  </sheetViews>
  <sheetFormatPr defaultColWidth="9" defaultRowHeight="16.5" customHeight="1" x14ac:dyDescent="0.5"/>
  <cols>
    <col min="1" max="1" width="4.109375" style="5" customWidth="1"/>
    <col min="2" max="2" width="29.21875" style="5" customWidth="1"/>
    <col min="3" max="5" width="19" style="5" customWidth="1"/>
    <col min="6" max="6" width="13.88671875" style="5" bestFit="1" customWidth="1"/>
    <col min="7" max="7" width="4.109375" style="1" customWidth="1"/>
    <col min="8" max="13" width="9" style="5"/>
    <col min="14" max="16384" width="9" style="1"/>
  </cols>
  <sheetData>
    <row r="1" spans="1:13" s="2" customFormat="1" ht="31.5" customHeight="1" x14ac:dyDescent="0.6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" customFormat="1" ht="42" customHeight="1" x14ac:dyDescent="0.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 customHeight="1" x14ac:dyDescent="0.5"/>
    <row r="4" spans="1:13" s="4" customFormat="1" ht="21.75" customHeight="1" x14ac:dyDescent="0.5">
      <c r="A4" s="3"/>
      <c r="B4" s="19" t="s">
        <v>30</v>
      </c>
      <c r="C4" s="21" t="s">
        <v>19</v>
      </c>
      <c r="D4" s="21" t="s">
        <v>20</v>
      </c>
      <c r="E4" s="21" t="s">
        <v>21</v>
      </c>
      <c r="F4" s="3"/>
      <c r="H4" s="3"/>
      <c r="I4" s="3"/>
      <c r="J4" s="3"/>
      <c r="K4" s="3"/>
      <c r="L4" s="3"/>
      <c r="M4" s="3"/>
    </row>
    <row r="5" spans="1:13" ht="15.9" x14ac:dyDescent="0.5">
      <c r="B5" t="s">
        <v>15</v>
      </c>
      <c r="C5" s="9">
        <f>Income[[#Totals],[ESTIMATED]]</f>
        <v>63300</v>
      </c>
      <c r="D5" s="9">
        <f>Income[[#Totals],[ACTUAL]]</f>
        <v>57450</v>
      </c>
      <c r="E5" s="10">
        <f>Totals[[#This Row],[ACTUAL]]-Totals[[#This Row],[ESTIMATED]]</f>
        <v>-5850</v>
      </c>
    </row>
    <row r="6" spans="1:13" ht="18" x14ac:dyDescent="0.5">
      <c r="B6" t="s">
        <v>18</v>
      </c>
      <c r="C6" s="9">
        <f>Index[[#Totals],[ESTIMATED]]+PersonnelExpenses[[#Totals],[ESTIMATED]]</f>
        <v>54500</v>
      </c>
      <c r="D6" s="9">
        <f>Index[[#Totals],[ACTUAL]]+PersonnelExpenses[[#Totals],[ACTUAL]]</f>
        <v>49630</v>
      </c>
      <c r="E6" s="11">
        <f>Totals[[#This Row],[ESTIMATED]]-Totals[[#This Row],[ACTUAL]]</f>
        <v>4870</v>
      </c>
    </row>
    <row r="7" spans="1:13" ht="36" x14ac:dyDescent="0.5">
      <c r="B7" t="s">
        <v>33</v>
      </c>
      <c r="C7" s="12">
        <f>C5-C6</f>
        <v>8800</v>
      </c>
      <c r="D7" s="12">
        <f>D5-D6</f>
        <v>7820</v>
      </c>
      <c r="E7" s="13">
        <f>Totals[[#Totals],[ACTUAL]]-Totals[[#Totals],[ESTIMATED]]</f>
        <v>-980</v>
      </c>
    </row>
    <row r="9" spans="1:13" ht="34.200000000000003" customHeight="1" x14ac:dyDescent="0.5">
      <c r="B9" s="8" t="s">
        <v>47</v>
      </c>
      <c r="C9" s="8"/>
      <c r="D9" s="8"/>
      <c r="E9" s="8"/>
    </row>
    <row r="10" spans="1:13" ht="16.5" customHeight="1" x14ac:dyDescent="0.5">
      <c r="B10" s="6" t="s">
        <v>26</v>
      </c>
      <c r="C10" s="7"/>
      <c r="D10" s="7"/>
      <c r="E10" s="7"/>
    </row>
    <row r="11" spans="1:13" ht="21.75" customHeight="1" x14ac:dyDescent="0.5">
      <c r="B11" s="19" t="s">
        <v>27</v>
      </c>
      <c r="C11" s="21" t="s">
        <v>28</v>
      </c>
      <c r="D11" s="21" t="s">
        <v>29</v>
      </c>
      <c r="E11" s="21" t="s">
        <v>32</v>
      </c>
    </row>
    <row r="12" spans="1:13" ht="15.9" x14ac:dyDescent="0.5">
      <c r="B12" t="str">
        <f>INDEX(Index[],MATCH(Top5Expenses[[#This Row],[AMOUNT]],Index[TOP 5 AMOUNT],0),1)</f>
        <v>Maintenance and repairs</v>
      </c>
      <c r="C12" s="16">
        <f>LARGE(Index[TOP 5 AMOUNT],1)</f>
        <v>4600.0000140000002</v>
      </c>
      <c r="D12" s="14">
        <f>Top5Expenses[[#This Row],[AMOUNT]]/$D$6</f>
        <v>9.2685875760628658E-2</v>
      </c>
      <c r="E12" s="16">
        <f>Top5Expenses[[#This Row],[AMOUNT]]*0.15</f>
        <v>690.00000209999996</v>
      </c>
    </row>
    <row r="13" spans="1:13" ht="15.9" x14ac:dyDescent="0.5">
      <c r="B13" t="str">
        <f>INDEX(Index[],MATCH(Top5Expenses[[#This Row],[AMOUNT]],Index[TOP 5 AMOUNT],0),1)</f>
        <v>Supplies</v>
      </c>
      <c r="C13" s="16">
        <f>LARGE(Index[TOP 5 AMOUNT],2)</f>
        <v>4500.0000200000004</v>
      </c>
      <c r="D13" s="14">
        <f>Top5Expenses[[#This Row],[AMOUNT]]/$D$6</f>
        <v>9.0670965545033261E-2</v>
      </c>
      <c r="E13" s="16">
        <f>Top5Expenses[[#This Row],[AMOUNT]]*0.15</f>
        <v>675.00000299999999</v>
      </c>
    </row>
    <row r="14" spans="1:13" ht="15.9" x14ac:dyDescent="0.5">
      <c r="B14" t="str">
        <f>INDEX(Index[],MATCH(Top5Expenses[[#This Row],[AMOUNT]],Index[TOP 5 AMOUNT],0),1)</f>
        <v>Rent or mortgage</v>
      </c>
      <c r="C14" s="16">
        <f>LARGE(Index[TOP 5 AMOUNT],3)</f>
        <v>4500.0000170000003</v>
      </c>
      <c r="D14" s="14">
        <f>Top5Expenses[[#This Row],[AMOUNT]]/$D$6</f>
        <v>9.0670965484585947E-2</v>
      </c>
      <c r="E14" s="16">
        <f>Top5Expenses[[#This Row],[AMOUNT]]*0.15</f>
        <v>675.00000254999998</v>
      </c>
    </row>
    <row r="15" spans="1:13" ht="15.9" x14ac:dyDescent="0.5">
      <c r="B15" t="str">
        <f>INDEX(Index[],MATCH(Top5Expenses[[#This Row],[AMOUNT]],Index[TOP 5 AMOUNT],0),1)</f>
        <v>Taxes</v>
      </c>
      <c r="C15" s="16">
        <f>LARGE(Index[TOP 5 AMOUNT],4)</f>
        <v>3200.0000209999998</v>
      </c>
      <c r="D15" s="14">
        <f>Top5Expenses[[#This Row],[AMOUNT]]/$D$6</f>
        <v>6.4477131190812012E-2</v>
      </c>
      <c r="E15" s="16">
        <f>Top5Expenses[[#This Row],[AMOUNT]]*0.15</f>
        <v>480.00000314999994</v>
      </c>
    </row>
    <row r="16" spans="1:13" ht="15.9" x14ac:dyDescent="0.5">
      <c r="B16" t="str">
        <f>INDEX(Index[],MATCH(Top5Expenses[[#This Row],[AMOUNT]],Index[TOP 5 AMOUNT],0),1)</f>
        <v>Advertising</v>
      </c>
      <c r="C16" s="16">
        <f>LARGE(Index[TOP 5 AMOUNT],5)</f>
        <v>2500.0000049999999</v>
      </c>
      <c r="D16" s="14">
        <f>Top5Expenses[[#This Row],[AMOUNT]]/$D$6</f>
        <v>5.037275851299617E-2</v>
      </c>
      <c r="E16" s="16">
        <f>Top5Expenses[[#This Row],[AMOUNT]]*0.15</f>
        <v>375.00000074999997</v>
      </c>
    </row>
    <row r="17" spans="2:6" ht="15.9" x14ac:dyDescent="0.5">
      <c r="B17" t="s">
        <v>14</v>
      </c>
      <c r="C17" s="17">
        <f>SUBTOTAL(109,Top5Expenses[AMOUNT])</f>
        <v>19300.000077000004</v>
      </c>
      <c r="D17" s="15">
        <f>SUBTOTAL(109,Top5Expenses[% OF EXPENSES])</f>
        <v>0.38887769649405601</v>
      </c>
      <c r="E17" s="17">
        <f>SUBTOTAL(109,Top5Expenses[15% REDUCTION])</f>
        <v>2895.0000115499997</v>
      </c>
    </row>
    <row r="20" spans="2:6" ht="16.5" customHeight="1" x14ac:dyDescent="0.5">
      <c r="B20" s="19" t="s">
        <v>22</v>
      </c>
      <c r="C20" s="20" t="s">
        <v>19</v>
      </c>
      <c r="D20" s="20" t="s">
        <v>20</v>
      </c>
      <c r="E20" s="22" t="s">
        <v>23</v>
      </c>
      <c r="F20" s="20" t="s">
        <v>21</v>
      </c>
    </row>
    <row r="21" spans="2:6" ht="16.5" customHeight="1" x14ac:dyDescent="0.5">
      <c r="B21" t="s">
        <v>40</v>
      </c>
      <c r="C21" s="18">
        <v>60000</v>
      </c>
      <c r="D21" s="18">
        <v>54000</v>
      </c>
      <c r="E21" s="12">
        <f>Income[[#This Row],[ACTUAL]]+(10^-6)*ROW(Income[[#This Row],[ACTUAL]])</f>
        <v>54000.000021</v>
      </c>
      <c r="F21" s="23">
        <f>Income[[#This Row],[ACTUAL]]-Income[[#This Row],[ESTIMATED]]</f>
        <v>-6000</v>
      </c>
    </row>
    <row r="22" spans="2:6" ht="16.5" customHeight="1" x14ac:dyDescent="0.5">
      <c r="B22" t="s">
        <v>41</v>
      </c>
      <c r="C22" s="18">
        <v>3000</v>
      </c>
      <c r="D22" s="18">
        <v>3000</v>
      </c>
      <c r="E22" s="12">
        <f>Income[[#This Row],[ACTUAL]]+(10^-6)*ROW(Income[[#This Row],[ACTUAL]])</f>
        <v>3000.0000220000002</v>
      </c>
      <c r="F22" s="23">
        <f>Income[[#This Row],[ACTUAL]]-Income[[#This Row],[ESTIMATED]]</f>
        <v>0</v>
      </c>
    </row>
    <row r="23" spans="2:6" ht="16.5" customHeight="1" x14ac:dyDescent="0.5">
      <c r="B23" t="s">
        <v>42</v>
      </c>
      <c r="C23" s="18">
        <v>300</v>
      </c>
      <c r="D23" s="18">
        <v>450</v>
      </c>
      <c r="E23" s="12">
        <f>Income[[#This Row],[ACTUAL]]+(10^-6)*ROW(Income[[#This Row],[ACTUAL]])</f>
        <v>450.000023</v>
      </c>
      <c r="F23" s="23">
        <f>Income[[#This Row],[ACTUAL]]-Income[[#This Row],[ESTIMATED]]</f>
        <v>150</v>
      </c>
    </row>
    <row r="24" spans="2:6" ht="16.5" customHeight="1" x14ac:dyDescent="0.5">
      <c r="B24" t="s">
        <v>44</v>
      </c>
      <c r="C24" s="45">
        <f>SUBTOTAL(109,Income[ESTIMATED])</f>
        <v>63300</v>
      </c>
      <c r="D24" s="45">
        <f>SUBTOTAL(109,Income[ACTUAL])</f>
        <v>57450</v>
      </c>
      <c r="E24" s="45"/>
      <c r="F24" s="45">
        <f>SUBTOTAL(109,Income[DIFFERENCE])</f>
        <v>-5850</v>
      </c>
    </row>
    <row r="27" spans="2:6" ht="16.5" customHeight="1" x14ac:dyDescent="0.5">
      <c r="B27" s="19" t="s">
        <v>24</v>
      </c>
      <c r="C27" s="20" t="s">
        <v>19</v>
      </c>
      <c r="D27" s="20" t="s">
        <v>20</v>
      </c>
      <c r="E27" s="19" t="s">
        <v>23</v>
      </c>
      <c r="F27" s="20" t="s">
        <v>21</v>
      </c>
    </row>
    <row r="28" spans="2:6" ht="16.5" customHeight="1" x14ac:dyDescent="0.5">
      <c r="B28" t="s">
        <v>16</v>
      </c>
      <c r="C28" s="18">
        <v>9500</v>
      </c>
      <c r="D28" s="18">
        <v>9600</v>
      </c>
      <c r="E28" s="12">
        <f>PersonnelExpenses[[#This Row],[ACTUAL]]+(10^-6)*ROW(PersonnelExpenses[[#This Row],[ACTUAL]])</f>
        <v>9600.0000280000004</v>
      </c>
      <c r="F28" s="23">
        <f>PersonnelExpenses[[#This Row],[ESTIMATED]]-PersonnelExpenses[[#This Row],[ACTUAL]]</f>
        <v>-100</v>
      </c>
    </row>
    <row r="29" spans="2:6" ht="16.5" customHeight="1" x14ac:dyDescent="0.5">
      <c r="B29" t="s">
        <v>34</v>
      </c>
      <c r="C29" s="18">
        <v>4000</v>
      </c>
      <c r="D29" s="18">
        <v>0</v>
      </c>
      <c r="E29" s="12">
        <f>PersonnelExpenses[[#This Row],[ACTUAL]]+(10^-6)*ROW(PersonnelExpenses[[#This Row],[ACTUAL]])</f>
        <v>2.9E-5</v>
      </c>
      <c r="F29" s="23">
        <f>PersonnelExpenses[[#This Row],[ESTIMATED]]-PersonnelExpenses[[#This Row],[ACTUAL]]</f>
        <v>4000</v>
      </c>
    </row>
    <row r="30" spans="2:6" ht="16.5" customHeight="1" x14ac:dyDescent="0.5">
      <c r="B30" t="s">
        <v>17</v>
      </c>
      <c r="C30" s="18">
        <v>5000</v>
      </c>
      <c r="D30" s="18">
        <v>4500</v>
      </c>
      <c r="E30" s="12">
        <f>PersonnelExpenses[[#This Row],[ACTUAL]]+(10^-6)*ROW(PersonnelExpenses[[#This Row],[ACTUAL]])</f>
        <v>4500.0000300000002</v>
      </c>
      <c r="F30" s="23">
        <f>PersonnelExpenses[[#This Row],[ESTIMATED]]-PersonnelExpenses[[#This Row],[ACTUAL]]</f>
        <v>500</v>
      </c>
    </row>
    <row r="31" spans="2:6" ht="16.5" customHeight="1" x14ac:dyDescent="0.5">
      <c r="B31" t="s">
        <v>45</v>
      </c>
      <c r="C31" s="17">
        <f>SUBTOTAL(109,PersonnelExpenses[ESTIMATED])</f>
        <v>18500</v>
      </c>
      <c r="D31" s="17">
        <f>SUBTOTAL(109,PersonnelExpenses[ACTUAL])</f>
        <v>14100</v>
      </c>
      <c r="E31" s="12"/>
      <c r="F31" s="17">
        <f>SUBTOTAL(109,PersonnelExpenses[DIFFERENCE])</f>
        <v>4400</v>
      </c>
    </row>
  </sheetData>
  <sheetProtection insertColumns="0" insertRows="0" deleteColumns="0" deleteRows="0" selectLockedCells="1" autoFilter="0"/>
  <mergeCells count="2">
    <mergeCell ref="A1:M1"/>
    <mergeCell ref="A2:M2"/>
  </mergeCells>
  <conditionalFormatting sqref="C5:E8 C10:E19 C25:E26 C32:E65">
    <cfRule type="cellIs" dxfId="3" priority="4" operator="lessThan">
      <formula>0</formula>
    </cfRule>
  </conditionalFormatting>
  <conditionalFormatting sqref="D12:E17">
    <cfRule type="cellIs" dxfId="2" priority="3" operator="lessThan">
      <formula>0</formula>
    </cfRule>
  </conditionalFormatting>
  <conditionalFormatting sqref="F31">
    <cfRule type="cellIs" dxfId="0" priority="1" operator="lessThan">
      <formula>0</formula>
    </cfRule>
  </conditionalFormatting>
  <dataValidations count="23">
    <dataValidation type="custom" allowBlank="1" showInputMessage="1" showErrorMessage="1" errorTitle="ALERT" error="This cell is automatically populated and should not be overwitten. Overwriting this cell would break calculations in this worksheet." sqref="D13 D15:D16 C5:E6">
      <formula1>LEN(C5)=""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4:E16">
      <formula1>LEN(#REF!)=""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2">
      <formula1>LEN(E12:E17)=""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" sqref="C12:D12 C13:C16">
      <formula1>LEN(C12:C17)=""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" sqref="D14">
      <formula1>LEN(D13:D17)=""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3">
      <formula1>LEN(E13:E17)=""</formula1>
    </dataValidation>
    <dataValidation allowBlank="1" showInputMessage="1" showErrorMessage="1" prompt="Budget Totals for Income &amp; Expenses, both estimated &amp; actual, are automatically calculated from amounts entered in other worksheets. Balance &amp; Difference are automatically adjusted" sqref="B4"/>
    <dataValidation allowBlank="1" showInputMessage="1" showErrorMessage="1" prompt="Estimated totals are automatically calculated in this column under this heading" sqref="C4"/>
    <dataValidation allowBlank="1" showInputMessage="1" showErrorMessage="1" prompt="Actual totals are automatically calculated in this column under this heading" sqref="D4"/>
    <dataValidation allowBlank="1" showInputMessage="1" showErrorMessage="1" prompt="Difference of Estimated and Actual Totals is automatically calculated in this column under this heading" sqref="E4"/>
    <dataValidation allowBlank="1" showInputMessage="1" showErrorMessage="1" prompt="Top 5 Operating Expenses are automatically updated in table below" sqref="B10"/>
    <dataValidation allowBlank="1" showInputMessage="1" showErrorMessage="1" prompt="Top 5 Expense items are automatically updated in this column under this heading" sqref="B11"/>
    <dataValidation allowBlank="1" showInputMessage="1" showErrorMessage="1" prompt="Amount is automatically updated in this column under this heading" sqref="C11"/>
    <dataValidation allowBlank="1" showInputMessage="1" showErrorMessage="1" prompt="Percent of Expenses is automatically calculated in this column under this heading" sqref="D11"/>
    <dataValidation allowBlank="1" showInputMessage="1" showErrorMessage="1" prompt="15 percent Reduction amount is automatically calculated in this column under this heading" sqref="E11"/>
    <dataValidation allowBlank="1" showInputMessage="1" showErrorMessage="1" prompt="Difference of Estimated and Actual Income is automatically calculated in this column under this heading" sqref="F20"/>
    <dataValidation allowBlank="1" showInputMessage="1" showErrorMessage="1" prompt="Enter Actual amount in this column under this heading" sqref="D20 D27"/>
    <dataValidation allowBlank="1" showInputMessage="1" showErrorMessage="1" prompt="Enter Estimated amount in this column under this heading" sqref="C20 C27"/>
    <dataValidation allowBlank="1" showInputMessage="1" showErrorMessage="1" prompt="Enter Income details in this column under this heading. Use heading filters to find specific entries" sqref="B20"/>
    <dataValidation allowBlank="1" showInputMessage="1" showErrorMessage="1" errorTitle="ALERT" error="This cell is automatically populated and should not be overwitten. Overwriting this cell would break calculations in this worksheet." sqref="F21:F23 F28:F30"/>
    <dataValidation allowBlank="1" showInputMessage="1" showErrorMessage="1" prompt="Difference of Estimated and Actual Personnel Expenses is automatically calculated in this column under this heading" sqref="F27"/>
    <dataValidation allowBlank="1" showInputMessage="1" showErrorMessage="1" prompt="Enter Personnel Expenses in this column under this heading. Use heading filters to find specific entries" sqref="B27"/>
    <dataValidation allowBlank="1" showInputMessage="1" showErrorMessage="1" prompt="Title of this worksheet is in this cell. Enter Date in cell at right. Budget Totals are automatically calculated in Totals table starting in cell B4" sqref="A2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C5:E5 D13:E16 C6:D6 D12:E12" listDataValidation="1"/>
    <ignoredError sqref="E6 C12:C16" listDataValidation="1" calculatedColumn="1"/>
    <ignoredError sqref="B12:B16" calculatedColumn="1"/>
  </ignoredError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autoPageBreaks="0" fitToPage="1"/>
  </sheetPr>
  <dimension ref="A1:G25"/>
  <sheetViews>
    <sheetView showGridLines="0" zoomScale="85" zoomScaleNormal="85" workbookViewId="0"/>
  </sheetViews>
  <sheetFormatPr defaultColWidth="9" defaultRowHeight="30" customHeight="1" x14ac:dyDescent="0.5"/>
  <cols>
    <col min="1" max="1" width="4.109375" style="2" customWidth="1"/>
    <col min="2" max="2" width="29.21875" style="2" customWidth="1"/>
    <col min="3" max="3" width="19" style="2" customWidth="1"/>
    <col min="4" max="4" width="18.88671875" style="2" customWidth="1"/>
    <col min="5" max="5" width="21.88671875" style="2" hidden="1" customWidth="1"/>
    <col min="6" max="6" width="19" style="2" customWidth="1"/>
    <col min="7" max="7" width="4.109375" style="2" customWidth="1"/>
    <col min="8" max="8" width="4.109375" style="1" customWidth="1"/>
    <col min="9" max="16384" width="9" style="1"/>
  </cols>
  <sheetData>
    <row r="1" spans="2:7" s="2" customFormat="1" ht="53.4" customHeight="1" x14ac:dyDescent="0.6">
      <c r="B1" s="38" t="str">
        <f>COMPANY_NAME</f>
        <v>TIN HOC CONG</v>
      </c>
      <c r="C1" s="39"/>
      <c r="D1" s="39"/>
      <c r="E1" s="39"/>
      <c r="F1" s="39"/>
      <c r="G1" s="39"/>
    </row>
    <row r="2" spans="2:7" s="27" customFormat="1" ht="53.4" customHeight="1" x14ac:dyDescent="1.2">
      <c r="B2" s="40" t="str">
        <f>BUDGET_Title</f>
        <v>MONTHLY BUDGET</v>
      </c>
      <c r="C2" s="41"/>
      <c r="D2" s="41"/>
      <c r="E2" s="41"/>
      <c r="F2" s="41"/>
      <c r="G2" s="41"/>
    </row>
    <row r="3" spans="2:7" s="2" customFormat="1" ht="53.4" customHeight="1" x14ac:dyDescent="0.5">
      <c r="G3" s="28"/>
    </row>
    <row r="4" spans="2:7" s="2" customFormat="1" ht="30" customHeight="1" x14ac:dyDescent="0.5">
      <c r="B4" s="29" t="s">
        <v>25</v>
      </c>
      <c r="C4" s="30" t="s">
        <v>19</v>
      </c>
      <c r="D4" s="30" t="s">
        <v>20</v>
      </c>
      <c r="E4" s="29" t="s">
        <v>23</v>
      </c>
      <c r="F4" s="30" t="s">
        <v>21</v>
      </c>
      <c r="G4" s="31"/>
    </row>
    <row r="5" spans="2:7" s="2" customFormat="1" ht="30" customHeight="1" x14ac:dyDescent="0.5">
      <c r="B5" s="32" t="s">
        <v>1</v>
      </c>
      <c r="C5" s="33">
        <v>3000</v>
      </c>
      <c r="D5" s="33">
        <v>2500</v>
      </c>
      <c r="E5" s="12">
        <f>Index[[#This Row],[ACTUAL]]+(10^-6)*ROW(Index[[#This Row],[ACTUAL]])</f>
        <v>2500.0000049999999</v>
      </c>
      <c r="F5" s="33">
        <f>C5-D5</f>
        <v>500</v>
      </c>
      <c r="G5" s="34"/>
    </row>
    <row r="6" spans="2:7" s="2" customFormat="1" ht="30" customHeight="1" x14ac:dyDescent="0.5">
      <c r="B6" s="32" t="s">
        <v>35</v>
      </c>
      <c r="C6" s="33">
        <v>2000</v>
      </c>
      <c r="D6" s="33">
        <v>2000</v>
      </c>
      <c r="E6" s="12">
        <f>Index[[#This Row],[ACTUAL]]+(10^-6)*ROW(Index[[#This Row],[ACTUAL]])</f>
        <v>2000.000006</v>
      </c>
      <c r="F6" s="33">
        <f t="shared" ref="F6:F24" si="0">C6-D6</f>
        <v>0</v>
      </c>
      <c r="G6" s="34"/>
    </row>
    <row r="7" spans="2:7" s="2" customFormat="1" ht="30" customHeight="1" x14ac:dyDescent="0.5">
      <c r="B7" s="32" t="s">
        <v>36</v>
      </c>
      <c r="C7" s="33">
        <v>1500</v>
      </c>
      <c r="D7" s="33">
        <v>2175</v>
      </c>
      <c r="E7" s="12">
        <f>Index[[#This Row],[ACTUAL]]+(10^-6)*ROW(Index[[#This Row],[ACTUAL]])</f>
        <v>2175.0000070000001</v>
      </c>
      <c r="F7" s="33">
        <f t="shared" si="0"/>
        <v>-675</v>
      </c>
      <c r="G7" s="34"/>
    </row>
    <row r="8" spans="2:7" s="2" customFormat="1" ht="30" customHeight="1" x14ac:dyDescent="0.5">
      <c r="B8" s="32" t="s">
        <v>43</v>
      </c>
      <c r="C8" s="33">
        <v>2000</v>
      </c>
      <c r="D8" s="33">
        <v>1500</v>
      </c>
      <c r="E8" s="12">
        <f>Index[[#This Row],[ACTUAL]]+(10^-6)*ROW(Index[[#This Row],[ACTUAL]])</f>
        <v>1500.000008</v>
      </c>
      <c r="F8" s="33">
        <f t="shared" si="0"/>
        <v>500</v>
      </c>
      <c r="G8" s="34"/>
    </row>
    <row r="9" spans="2:7" s="2" customFormat="1" ht="30" customHeight="1" x14ac:dyDescent="0.5">
      <c r="B9" s="32" t="s">
        <v>2</v>
      </c>
      <c r="C9" s="33">
        <v>1000</v>
      </c>
      <c r="D9" s="33">
        <v>1000</v>
      </c>
      <c r="E9" s="12">
        <f>Index[[#This Row],[ACTUAL]]+(10^-6)*ROW(Index[[#This Row],[ACTUAL]])</f>
        <v>1000.000009</v>
      </c>
      <c r="F9" s="33">
        <f t="shared" si="0"/>
        <v>0</v>
      </c>
      <c r="G9" s="34"/>
    </row>
    <row r="10" spans="2:7" s="2" customFormat="1" ht="30" customHeight="1" x14ac:dyDescent="0.5">
      <c r="B10" s="32" t="s">
        <v>37</v>
      </c>
      <c r="C10" s="33">
        <v>500</v>
      </c>
      <c r="D10" s="33">
        <v>525</v>
      </c>
      <c r="E10" s="12">
        <f>Index[[#This Row],[ACTUAL]]+(10^-6)*ROW(Index[[#This Row],[ACTUAL]])</f>
        <v>525.00000999999997</v>
      </c>
      <c r="F10" s="33">
        <f t="shared" si="0"/>
        <v>-25</v>
      </c>
      <c r="G10" s="34"/>
    </row>
    <row r="11" spans="2:7" s="2" customFormat="1" ht="30" customHeight="1" x14ac:dyDescent="0.5">
      <c r="B11" s="32" t="s">
        <v>3</v>
      </c>
      <c r="C11" s="33">
        <v>1300</v>
      </c>
      <c r="D11" s="33">
        <v>1275</v>
      </c>
      <c r="E11" s="12">
        <f>Index[[#This Row],[ACTUAL]]+(10^-6)*ROW(Index[[#This Row],[ACTUAL]])</f>
        <v>1275.0000110000001</v>
      </c>
      <c r="F11" s="33">
        <f t="shared" si="0"/>
        <v>25</v>
      </c>
      <c r="G11" s="34"/>
    </row>
    <row r="12" spans="2:7" s="2" customFormat="1" ht="30" customHeight="1" x14ac:dyDescent="0.5">
      <c r="B12" s="32" t="s">
        <v>4</v>
      </c>
      <c r="C12" s="33">
        <v>2000</v>
      </c>
      <c r="D12" s="33">
        <v>2200</v>
      </c>
      <c r="E12" s="12">
        <f>Index[[#This Row],[ACTUAL]]+(10^-6)*ROW(Index[[#This Row],[ACTUAL]])</f>
        <v>2200.000012</v>
      </c>
      <c r="F12" s="33">
        <f t="shared" si="0"/>
        <v>-200</v>
      </c>
      <c r="G12" s="34"/>
    </row>
    <row r="13" spans="2:7" s="2" customFormat="1" ht="30" customHeight="1" x14ac:dyDescent="0.5">
      <c r="B13" s="32" t="s">
        <v>38</v>
      </c>
      <c r="C13" s="33">
        <v>1000</v>
      </c>
      <c r="D13" s="33">
        <v>800</v>
      </c>
      <c r="E13" s="12">
        <f>Index[[#This Row],[ACTUAL]]+(10^-6)*ROW(Index[[#This Row],[ACTUAL]])</f>
        <v>800.00001299999997</v>
      </c>
      <c r="F13" s="33">
        <f t="shared" si="0"/>
        <v>200</v>
      </c>
      <c r="G13" s="34"/>
    </row>
    <row r="14" spans="2:7" ht="30" customHeight="1" x14ac:dyDescent="0.5">
      <c r="B14" s="32" t="s">
        <v>39</v>
      </c>
      <c r="C14" s="33">
        <v>4500</v>
      </c>
      <c r="D14" s="33">
        <v>4600</v>
      </c>
      <c r="E14" s="12">
        <f>Index[[#This Row],[ACTUAL]]+(10^-6)*ROW(Index[[#This Row],[ACTUAL]])</f>
        <v>4600.0000140000002</v>
      </c>
      <c r="F14" s="33">
        <f t="shared" si="0"/>
        <v>-100</v>
      </c>
      <c r="G14" s="34"/>
    </row>
    <row r="15" spans="2:7" ht="30" customHeight="1" x14ac:dyDescent="0.5">
      <c r="B15" s="32" t="s">
        <v>5</v>
      </c>
      <c r="C15" s="33">
        <v>800</v>
      </c>
      <c r="D15" s="33">
        <v>750</v>
      </c>
      <c r="E15" s="12">
        <f>Index[[#This Row],[ACTUAL]]+(10^-6)*ROW(Index[[#This Row],[ACTUAL]])</f>
        <v>750.00001499999996</v>
      </c>
      <c r="F15" s="33">
        <f t="shared" si="0"/>
        <v>50</v>
      </c>
      <c r="G15" s="34"/>
    </row>
    <row r="16" spans="2:7" ht="30" customHeight="1" x14ac:dyDescent="0.5">
      <c r="B16" s="32" t="s">
        <v>6</v>
      </c>
      <c r="C16" s="33">
        <v>400</v>
      </c>
      <c r="D16" s="33">
        <v>350</v>
      </c>
      <c r="E16" s="12">
        <f>Index[[#This Row],[ACTUAL]]+(10^-6)*ROW(Index[[#This Row],[ACTUAL]])</f>
        <v>350.00001600000002</v>
      </c>
      <c r="F16" s="33">
        <f t="shared" si="0"/>
        <v>50</v>
      </c>
      <c r="G16" s="34"/>
    </row>
    <row r="17" spans="2:7" ht="30" customHeight="1" x14ac:dyDescent="0.5">
      <c r="B17" s="32" t="s">
        <v>7</v>
      </c>
      <c r="C17" s="33">
        <v>4100</v>
      </c>
      <c r="D17" s="33">
        <v>4500</v>
      </c>
      <c r="E17" s="12">
        <f>Index[[#This Row],[ACTUAL]]+(10^-6)*ROW(Index[[#This Row],[ACTUAL]])</f>
        <v>4500.0000170000003</v>
      </c>
      <c r="F17" s="33">
        <f t="shared" si="0"/>
        <v>-400</v>
      </c>
      <c r="G17" s="34"/>
    </row>
    <row r="18" spans="2:7" ht="30" customHeight="1" x14ac:dyDescent="0.5">
      <c r="B18" s="32" t="s">
        <v>8</v>
      </c>
      <c r="C18" s="33">
        <v>350</v>
      </c>
      <c r="D18" s="33">
        <v>400</v>
      </c>
      <c r="E18" s="12">
        <f>Index[[#This Row],[ACTUAL]]+(10^-6)*ROW(Index[[#This Row],[ACTUAL]])</f>
        <v>400.00001800000001</v>
      </c>
      <c r="F18" s="33">
        <f t="shared" si="0"/>
        <v>-50</v>
      </c>
      <c r="G18" s="34"/>
    </row>
    <row r="19" spans="2:7" ht="30" customHeight="1" x14ac:dyDescent="0.5">
      <c r="B19" s="32" t="s">
        <v>9</v>
      </c>
      <c r="C19" s="33">
        <v>900</v>
      </c>
      <c r="D19" s="33">
        <v>840</v>
      </c>
      <c r="E19" s="12">
        <f>Index[[#This Row],[ACTUAL]]+(10^-6)*ROW(Index[[#This Row],[ACTUAL]])</f>
        <v>840.00001899999995</v>
      </c>
      <c r="F19" s="33">
        <f t="shared" si="0"/>
        <v>60</v>
      </c>
      <c r="G19" s="34"/>
    </row>
    <row r="20" spans="2:7" ht="30" customHeight="1" x14ac:dyDescent="0.5">
      <c r="B20" s="32" t="s">
        <v>10</v>
      </c>
      <c r="C20" s="33">
        <v>5000</v>
      </c>
      <c r="D20" s="33">
        <v>4500</v>
      </c>
      <c r="E20" s="12">
        <f>Index[[#This Row],[ACTUAL]]+(10^-6)*ROW(Index[[#This Row],[ACTUAL]])</f>
        <v>4500.0000200000004</v>
      </c>
      <c r="F20" s="33">
        <f t="shared" si="0"/>
        <v>500</v>
      </c>
      <c r="G20" s="34"/>
    </row>
    <row r="21" spans="2:7" ht="30" customHeight="1" x14ac:dyDescent="0.5">
      <c r="B21" s="32" t="s">
        <v>11</v>
      </c>
      <c r="C21" s="33">
        <v>3000</v>
      </c>
      <c r="D21" s="33">
        <v>3200</v>
      </c>
      <c r="E21" s="12">
        <f>Index[[#This Row],[ACTUAL]]+(10^-6)*ROW(Index[[#This Row],[ACTUAL]])</f>
        <v>3200.0000209999998</v>
      </c>
      <c r="F21" s="33">
        <f t="shared" si="0"/>
        <v>-200</v>
      </c>
      <c r="G21" s="34"/>
    </row>
    <row r="22" spans="2:7" ht="30" customHeight="1" x14ac:dyDescent="0.5">
      <c r="B22" s="32" t="s">
        <v>12</v>
      </c>
      <c r="C22" s="33">
        <v>250</v>
      </c>
      <c r="D22" s="33">
        <v>280</v>
      </c>
      <c r="E22" s="12">
        <f>Index[[#This Row],[ACTUAL]]+(10^-6)*ROW(Index[[#This Row],[ACTUAL]])</f>
        <v>280.000022</v>
      </c>
      <c r="F22" s="33">
        <f t="shared" si="0"/>
        <v>-30</v>
      </c>
      <c r="G22" s="34"/>
    </row>
    <row r="23" spans="2:7" ht="30" customHeight="1" x14ac:dyDescent="0.5">
      <c r="B23" s="32" t="s">
        <v>13</v>
      </c>
      <c r="C23" s="33">
        <v>1400</v>
      </c>
      <c r="D23" s="33">
        <v>1385</v>
      </c>
      <c r="E23" s="12">
        <f>Index[[#This Row],[ACTUAL]]+(10^-6)*ROW(Index[[#This Row],[ACTUAL]])</f>
        <v>1385.0000230000001</v>
      </c>
      <c r="F23" s="33">
        <f t="shared" si="0"/>
        <v>15</v>
      </c>
      <c r="G23" s="34"/>
    </row>
    <row r="24" spans="2:7" ht="30" customHeight="1" x14ac:dyDescent="0.5">
      <c r="B24" s="32" t="s">
        <v>0</v>
      </c>
      <c r="C24" s="33">
        <v>1000</v>
      </c>
      <c r="D24" s="33">
        <v>750</v>
      </c>
      <c r="E24" s="12">
        <f>Index[[#This Row],[ACTUAL]]+(10^-6)*ROW(Index[[#This Row],[ACTUAL]])</f>
        <v>750.00002400000005</v>
      </c>
      <c r="F24" s="33">
        <f t="shared" si="0"/>
        <v>250</v>
      </c>
      <c r="G24" s="34"/>
    </row>
    <row r="25" spans="2:7" ht="30" customHeight="1" x14ac:dyDescent="0.5">
      <c r="B25" s="32" t="s">
        <v>46</v>
      </c>
      <c r="C25" s="25">
        <f>SUBTOTAL(109,Index[ESTIMATED])</f>
        <v>36000</v>
      </c>
      <c r="D25" s="25">
        <f>SUBTOTAL(109,Index[ACTUAL])</f>
        <v>35530</v>
      </c>
      <c r="E25" s="26"/>
      <c r="F25" s="35">
        <f>SUBTOTAL(109,Index[DIFFERENCE])</f>
        <v>470</v>
      </c>
      <c r="G25" s="36"/>
    </row>
  </sheetData>
  <sheetProtection insertColumns="0" insertRows="0" deleteColumns="0" deleteRows="0" selectLockedCells="1" autoFilter="0"/>
  <dataConsolidate/>
  <dataValidations count="8">
    <dataValidation type="custom" allowBlank="1" showInputMessage="1" showErrorMessage="1" errorTitle="ALERT" error="This cell is automatically populated and should not be overwitten. Overwriting this cell would break calculations in this worksheet." sqref="G5:G24">
      <formula1>LEN(G5)=""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5:F24"/>
    <dataValidation allowBlank="1" showInputMessage="1" showErrorMessage="1" prompt="Company Name is automatically updated in this cell" sqref="B1"/>
    <dataValidation allowBlank="1" showInputMessage="1" showErrorMessage="1" prompt="Title is automatically updated in this cell. Enter Monthly Operating Expense details in table below" sqref="B2"/>
    <dataValidation allowBlank="1" showInputMessage="1" showErrorMessage="1" prompt="Enter Operating Expenses in this column under this heading. Use heading filters to find specific entries" sqref="B4"/>
    <dataValidation allowBlank="1" showInputMessage="1" showErrorMessage="1" prompt="Enter Estimated amount in this column under this heading" sqref="C4"/>
    <dataValidation allowBlank="1" showInputMessage="1" showErrorMessage="1" prompt="Enter Actual amount in this column under this heading" sqref="D4"/>
    <dataValidation allowBlank="1" showInputMessage="1" showErrorMessage="1" prompt="Difference of Estimated and Actual Operating Expenses is automatically calculated in this column under this heading" sqref="F4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B2" unlockedFormula="1"/>
    <ignoredError sqref="F5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G5:G24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/>
  </sheetViews>
  <sheetFormatPr defaultRowHeight="18" x14ac:dyDescent="0.5"/>
  <cols>
    <col min="1" max="1" width="20.21875" bestFit="1" customWidth="1"/>
    <col min="2" max="5" width="13.44140625" customWidth="1"/>
    <col min="6" max="6" width="15.33203125" customWidth="1"/>
    <col min="7" max="13" width="6.33203125" customWidth="1"/>
  </cols>
  <sheetData>
    <row r="1" spans="1:6" s="42" customFormat="1" ht="24.6" x14ac:dyDescent="0.6">
      <c r="A1" s="44" t="s">
        <v>49</v>
      </c>
    </row>
    <row r="2" spans="1:6" s="42" customFormat="1" ht="19.8" customHeight="1" x14ac:dyDescent="0.5">
      <c r="A2" s="43" t="s">
        <v>50</v>
      </c>
      <c r="B2" s="43" t="s">
        <v>61</v>
      </c>
      <c r="C2" s="43" t="s">
        <v>62</v>
      </c>
      <c r="D2" s="43" t="s">
        <v>63</v>
      </c>
      <c r="E2" s="43" t="s">
        <v>64</v>
      </c>
      <c r="F2" s="49" t="s">
        <v>65</v>
      </c>
    </row>
    <row r="3" spans="1:6" s="42" customFormat="1" ht="22.2" customHeight="1" x14ac:dyDescent="0.5">
      <c r="A3" s="42" t="s">
        <v>51</v>
      </c>
      <c r="B3" s="42">
        <v>25</v>
      </c>
      <c r="C3" s="42">
        <v>35</v>
      </c>
      <c r="D3" s="42">
        <v>29</v>
      </c>
      <c r="E3" s="42">
        <v>22</v>
      </c>
      <c r="F3" s="47"/>
    </row>
    <row r="4" spans="1:6" s="42" customFormat="1" ht="22.2" customHeight="1" x14ac:dyDescent="0.5">
      <c r="A4" s="42" t="s">
        <v>52</v>
      </c>
      <c r="B4" s="42">
        <v>758</v>
      </c>
      <c r="C4" s="42">
        <v>744</v>
      </c>
      <c r="D4" s="42">
        <v>797</v>
      </c>
      <c r="E4" s="42">
        <v>765</v>
      </c>
      <c r="F4" s="48"/>
    </row>
    <row r="5" spans="1:6" s="42" customFormat="1" ht="22.2" customHeight="1" x14ac:dyDescent="0.5">
      <c r="A5" s="42" t="s">
        <v>53</v>
      </c>
      <c r="B5" s="42">
        <v>148</v>
      </c>
      <c r="C5" s="42">
        <v>108</v>
      </c>
      <c r="D5" s="42">
        <v>102</v>
      </c>
      <c r="E5" s="42">
        <v>142</v>
      </c>
      <c r="F5" s="47"/>
    </row>
    <row r="6" spans="1:6" s="42" customFormat="1" ht="22.2" customHeight="1" x14ac:dyDescent="0.5">
      <c r="A6" s="42" t="s">
        <v>54</v>
      </c>
      <c r="B6" s="42">
        <v>88</v>
      </c>
      <c r="C6" s="42">
        <v>135</v>
      </c>
      <c r="D6" s="42">
        <v>127</v>
      </c>
      <c r="E6" s="42">
        <v>139</v>
      </c>
      <c r="F6" s="48"/>
    </row>
    <row r="7" spans="1:6" s="42" customFormat="1" ht="22.2" customHeight="1" x14ac:dyDescent="0.5">
      <c r="A7" s="42" t="s">
        <v>55</v>
      </c>
      <c r="B7" s="42">
        <v>113</v>
      </c>
      <c r="C7" s="42">
        <v>128</v>
      </c>
      <c r="D7" s="42">
        <v>94</v>
      </c>
      <c r="E7" s="42">
        <v>137</v>
      </c>
      <c r="F7" s="47"/>
    </row>
    <row r="8" spans="1:6" s="42" customFormat="1" ht="22.2" customHeight="1" x14ac:dyDescent="0.5">
      <c r="A8" s="42" t="s">
        <v>56</v>
      </c>
      <c r="B8" s="42">
        <v>52</v>
      </c>
      <c r="C8" s="42">
        <v>105</v>
      </c>
      <c r="D8" s="42">
        <v>112</v>
      </c>
      <c r="E8" s="42">
        <v>110</v>
      </c>
      <c r="F8" s="48"/>
    </row>
    <row r="9" spans="1:6" s="42" customFormat="1" ht="22.2" customHeight="1" x14ac:dyDescent="0.5">
      <c r="A9" s="42" t="s">
        <v>57</v>
      </c>
      <c r="B9" s="42">
        <v>71</v>
      </c>
      <c r="C9" s="42">
        <v>77</v>
      </c>
      <c r="D9" s="42">
        <v>132</v>
      </c>
      <c r="E9" s="42">
        <v>70</v>
      </c>
      <c r="F9" s="47"/>
    </row>
    <row r="10" spans="1:6" s="42" customFormat="1" ht="22.2" customHeight="1" x14ac:dyDescent="0.5">
      <c r="A10" s="42" t="s">
        <v>58</v>
      </c>
      <c r="B10" s="42">
        <v>144</v>
      </c>
      <c r="C10" s="42">
        <v>124</v>
      </c>
      <c r="D10" s="42">
        <v>147</v>
      </c>
      <c r="E10" s="42">
        <v>59</v>
      </c>
      <c r="F10" s="48"/>
    </row>
    <row r="11" spans="1:6" s="42" customFormat="1" ht="22.2" customHeight="1" x14ac:dyDescent="0.5">
      <c r="A11" s="42" t="s">
        <v>59</v>
      </c>
      <c r="B11" s="42">
        <v>132</v>
      </c>
      <c r="C11" s="42">
        <v>120</v>
      </c>
      <c r="D11" s="42">
        <v>99</v>
      </c>
      <c r="E11" s="42">
        <v>67</v>
      </c>
      <c r="F11" s="47"/>
    </row>
    <row r="12" spans="1:6" s="42" customFormat="1" ht="22.2" customHeight="1" x14ac:dyDescent="0.5">
      <c r="A12" s="42" t="s">
        <v>60</v>
      </c>
      <c r="B12" s="42">
        <v>753</v>
      </c>
      <c r="C12" s="42">
        <v>615</v>
      </c>
      <c r="D12" s="42">
        <v>706</v>
      </c>
      <c r="E12" s="42">
        <v>709</v>
      </c>
      <c r="F12" s="46"/>
    </row>
    <row r="13" spans="1:6" s="42" customFormat="1" x14ac:dyDescent="0.5"/>
  </sheetData>
  <sortState ref="H4:H13">
    <sortCondition descending="1" ref="H4:H1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Summary</vt:lpstr>
      <vt:lpstr>Database</vt:lpstr>
      <vt:lpstr>BeSam</vt:lpstr>
      <vt:lpstr>BUDGET_Title</vt:lpstr>
      <vt:lpstr>ColumnTitle1</vt:lpstr>
      <vt:lpstr>COMPANY_NAME</vt:lpstr>
      <vt:lpstr>Database!Print_Titles</vt:lpstr>
      <vt:lpstr>Title1</vt:lpstr>
      <vt:lpstr>Title2</vt:lpstr>
      <vt:lpstr>Title3</vt:lpstr>
      <vt:lpstr>Title4</vt:lpstr>
    </vt:vector>
  </TitlesOfParts>
  <Company>tinhoccong.com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Project 1</dc:subject>
  <dc:creator>Khac Hoang</dc:creator>
  <cp:lastModifiedBy>TIN HOC CONG</cp:lastModifiedBy>
  <cp:lastPrinted>2019-07-23T08:24:40Z</cp:lastPrinted>
  <dcterms:created xsi:type="dcterms:W3CDTF">2017-11-25T19:49:04Z</dcterms:created>
  <dcterms:modified xsi:type="dcterms:W3CDTF">2019-07-23T08:50:42Z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2017-11-25T19:49:12.3280575Z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